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0"/>
  </bookViews>
  <sheets>
    <sheet name="РЕЕСТР" sheetId="1" r:id="rId1"/>
  </sheets>
  <definedNames>
    <definedName name="_xlnm._FilterDatabase" localSheetId="0" hidden="1">'РЕЕСТР'!$A$2:$AI$10</definedName>
    <definedName name="_xlnm.Print_Area" localSheetId="0">'РЕЕСТР'!$A$1:$AE$12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<sst xmlns="http://schemas.openxmlformats.org/spreadsheetml/2006/main" count="150" uniqueCount="103">
  <si>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</si>
  <si>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</si>
  <si>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</si>
  <si>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</si>
  <si>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</si>
  <si>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</si>
  <si>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</si>
  <si>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</si>
  <si>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</si>
  <si>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</si>
  <si>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</si>
  <si>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</si>
  <si>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</si>
  <si>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</si>
  <si>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</si>
  <si>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</si>
  <si>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</si>
  <si>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</si>
  <si>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</si>
  <si>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</si>
  <si>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</si>
  <si>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</si>
  <si>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</si>
  <si>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</si>
  <si>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</si>
  <si>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</si>
  <si>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</si>
  <si>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</si>
  <si>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</si>
  <si>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</si>
  <si>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</si>
  <si>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</si>
  <si>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</si>
  <si>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</si>
  <si>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</si>
  <si>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</si>
  <si>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</si>
  <si>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</si>
  <si>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</si>
  <si>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</si>
  <si>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</si>
  <si>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</si>
  <si>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</si>
  <si>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</si>
  <si>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</si>
  <si>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</si>
  <si>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</si>
  <si>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</si>
  <si>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</si>
  <si>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</si>
  <si>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</si>
  <si>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</si>
  <si>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</si>
  <si>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</si>
  <si>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</si>
  <si>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</si>
  <si>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</si>
  <si>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п. Самусь</t>
  </si>
  <si>
    <t>основное</t>
  </si>
  <si>
    <t>есть</t>
  </si>
  <si>
    <t>Земельный участок</t>
  </si>
  <si>
    <t>Набережная, 
уч. 37Б</t>
  </si>
  <si>
    <t>п. Иглаково</t>
  </si>
  <si>
    <t>ТП-10, ф.2, оп.№13</t>
  </si>
  <si>
    <t>08/02/13</t>
  </si>
  <si>
    <t>39</t>
  </si>
  <si>
    <t>Жилой дом</t>
  </si>
  <si>
    <t>пер. Песочный,
д.3</t>
  </si>
  <si>
    <t>ТП-У-15-6, ф.4, оп. №28</t>
  </si>
  <si>
    <t>08/03/13</t>
  </si>
  <si>
    <t>45</t>
  </si>
  <si>
    <t>февраль</t>
  </si>
  <si>
    <t>Нежилое здание</t>
  </si>
  <si>
    <t>Ленина,8</t>
  </si>
  <si>
    <t>г. Северск</t>
  </si>
  <si>
    <t>ТП-192, ф. 6;
ТП-115, ф. 11</t>
  </si>
  <si>
    <t>08/04/13</t>
  </si>
  <si>
    <t>56</t>
  </si>
  <si>
    <t>Платная автостоянка</t>
  </si>
  <si>
    <t>у ж/дома Победы,23</t>
  </si>
  <si>
    <t>ТП-314, ф.17</t>
  </si>
  <si>
    <t>08/05/13</t>
  </si>
  <si>
    <t>59</t>
  </si>
  <si>
    <t xml:space="preserve">Гаражный бокс </t>
  </si>
  <si>
    <t>Калинина,133б</t>
  </si>
  <si>
    <t>ВУ-2 теплового пункта здания Калинина,133а</t>
  </si>
  <si>
    <t>58</t>
  </si>
  <si>
    <t>08/06/13</t>
  </si>
  <si>
    <t>Административно-офисное здание</t>
  </si>
  <si>
    <t>Лесная,15/1</t>
  </si>
  <si>
    <t>ТП-198,ф.3</t>
  </si>
  <si>
    <t>08/07/13</t>
  </si>
  <si>
    <t>89</t>
  </si>
  <si>
    <t>ТП-1, ф.2, оп.№1</t>
  </si>
  <si>
    <t>СНТ "Мир", кв.1, ул.9, уч.6</t>
  </si>
  <si>
    <t>08/08/13</t>
  </si>
  <si>
    <t>90</t>
  </si>
  <si>
    <t>Кооперативная,15/2</t>
  </si>
  <si>
    <t>ТП У-5-2, ф.11, оп.№49</t>
  </si>
  <si>
    <t>08/09/13</t>
  </si>
  <si>
    <t>87</t>
  </si>
  <si>
    <t>Дата поступления заявки</t>
  </si>
  <si>
    <t>Реестр технологических присоединений ООО "Электросети" ЗАТО Северск февраль 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</si>
</sst>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5"/>
  <sheetViews>
    <sheetView tabSelected="1" zoomScale="85" zoomScaleNormal="85" zoomScaleSheetLayoutView="100" workbookViewId="0" topLeftCell="A1">
      <selection activeCell="B2" sqref="B2"/>
    </sheetView>
  </sheetViews>
  <sheetFormatPr defaultColWidth="9.33203125" defaultRowHeight="12.75"/>
  <cols>
    <col min="1" max="1" width="9.33203125" style="8" customWidth="1"/>
    <col min="2" max="2" width="18.33203125" style="8" customWidth="1"/>
    <col min="3" max="3" width="16.5" style="8" customWidth="1"/>
    <col min="4" max="4" width="13.16015625" style="8" customWidth="1"/>
    <col min="5" max="5" width="11.33203125" style="8" customWidth="1"/>
    <col min="6" max="6" width="23.16015625" style="8" customWidth="1"/>
    <col min="7" max="8" width="20.33203125" style="8" customWidth="1"/>
    <col min="9" max="9" width="30.83203125" style="8" customWidth="1"/>
    <col min="10" max="10" width="17.66015625" style="8" customWidth="1"/>
    <col min="11" max="12" width="30.83203125" style="8" customWidth="1"/>
    <col min="13" max="13" width="21.16015625" style="8" customWidth="1"/>
    <col min="14" max="15" width="23" style="8" customWidth="1"/>
    <col min="16" max="16" width="22.5" style="8" customWidth="1"/>
    <col min="17" max="18" width="18.5" style="8" customWidth="1"/>
    <col min="19" max="19" width="13.16015625" style="42" customWidth="1"/>
    <col min="20" max="20" width="18.83203125" style="8" customWidth="1"/>
    <col min="21" max="21" width="20.33203125" style="8" customWidth="1"/>
    <col min="22" max="22" width="13.16015625" style="42" customWidth="1"/>
    <col min="23" max="23" width="14.5" style="8" customWidth="1"/>
    <col min="24" max="25" width="17.5" style="8" customWidth="1"/>
    <col min="26" max="26" width="18.33203125" style="8" customWidth="1"/>
    <col min="27" max="27" width="17" style="8" customWidth="1"/>
    <col min="28" max="28" width="14.66015625" style="42" customWidth="1"/>
    <col min="29" max="29" width="14.83203125" style="42" customWidth="1"/>
    <col min="30" max="30" width="13.16015625" style="42" customWidth="1"/>
    <col min="31" max="33" width="19" style="8" customWidth="1"/>
    <col min="34" max="34" width="18.16015625" style="8" customWidth="1"/>
    <col min="35" max="35" width="16" style="8" customWidth="1"/>
    <col min="36" max="16384" width="9.33203125" style="8" customWidth="1"/>
  </cols>
  <sheetData>
    <row r="1" spans="1:34" ht="18.75">
      <c r="A1" s="79" t="s">
        <v>102</v>
      </c>
      <c r="B1" s="80"/>
      <c r="C1" s="80"/>
      <c r="D1" s="80"/>
      <c r="E1" s="80"/>
      <c r="F1" s="80"/>
      <c r="AE1" s="52" t="s">
        <v>48</v>
      </c>
      <c r="AF1" s="67"/>
      <c r="AG1" s="67"/>
      <c r="AH1" s="53">
        <v>18</v>
      </c>
    </row>
    <row r="2" spans="1:35" ht="38.25">
      <c r="A2" s="10" t="s">
        <v>0</v>
      </c>
      <c r="B2" s="10" t="s">
        <v>3</v>
      </c>
      <c r="C2" s="10" t="s">
        <v>4</v>
      </c>
      <c r="D2" s="10" t="s">
        <v>26</v>
      </c>
      <c r="E2" s="10" t="s">
        <v>23</v>
      </c>
      <c r="F2" s="10" t="s">
        <v>35</v>
      </c>
      <c r="G2" s="10" t="s">
        <v>5</v>
      </c>
      <c r="H2" s="10" t="s">
        <v>47</v>
      </c>
      <c r="I2" s="10" t="s">
        <v>17</v>
      </c>
      <c r="J2" s="10" t="s">
        <v>18</v>
      </c>
      <c r="K2" s="10" t="s">
        <v>11</v>
      </c>
      <c r="L2" s="10" t="s">
        <v>19</v>
      </c>
      <c r="M2" s="10" t="s">
        <v>36</v>
      </c>
      <c r="N2" s="10" t="s">
        <v>44</v>
      </c>
      <c r="O2" s="10" t="s">
        <v>46</v>
      </c>
      <c r="P2" s="10" t="s">
        <v>45</v>
      </c>
      <c r="Q2" s="10" t="s">
        <v>37</v>
      </c>
      <c r="R2" s="10" t="s">
        <v>50</v>
      </c>
      <c r="S2" s="10" t="s">
        <v>30</v>
      </c>
      <c r="T2" s="10" t="s">
        <v>32</v>
      </c>
      <c r="U2" s="10" t="s">
        <v>31</v>
      </c>
      <c r="V2" s="10" t="s">
        <v>38</v>
      </c>
      <c r="W2" s="10" t="s">
        <v>39</v>
      </c>
      <c r="X2" s="10" t="s">
        <v>41</v>
      </c>
      <c r="Y2" s="10" t="s">
        <v>42</v>
      </c>
      <c r="Z2" s="10" t="s">
        <v>40</v>
      </c>
      <c r="AA2" s="10" t="s">
        <v>33</v>
      </c>
      <c r="AB2" s="10" t="s">
        <v>1</v>
      </c>
      <c r="AC2" s="10" t="s">
        <v>10</v>
      </c>
      <c r="AD2" s="10" t="s">
        <v>29</v>
      </c>
      <c r="AE2" s="10" t="s">
        <v>34</v>
      </c>
      <c r="AF2" s="10" t="s">
        <v>52</v>
      </c>
      <c r="AG2" s="10" t="s">
        <v>101</v>
      </c>
      <c r="AH2" s="10" t="s">
        <v>2</v>
      </c>
      <c r="AI2" s="10" t="s">
        <v>53</v>
      </c>
    </row>
    <row r="3" spans="1:35" s="30" customFormat="1" ht="52.5" customHeight="1">
      <c r="A3" s="11">
        <v>1</v>
      </c>
      <c r="B3" s="1" t="s">
        <v>60</v>
      </c>
      <c r="C3" s="1" t="s">
        <v>61</v>
      </c>
      <c r="D3" s="1" t="s">
        <v>62</v>
      </c>
      <c r="E3" s="1" t="s">
        <v>58</v>
      </c>
      <c r="F3" s="1" t="s">
        <v>63</v>
      </c>
      <c r="G3" s="1" t="s">
        <v>6</v>
      </c>
      <c r="H3" s="1"/>
      <c r="I3" s="3">
        <v>15</v>
      </c>
      <c r="J3" s="2">
        <v>0.98</v>
      </c>
      <c r="K3" s="36">
        <f aca="true" t="shared" si="0" ref="K3:K10">IF(OR(I3="",J3=""),"-",ROUND(I3/J3,1))</f>
        <v>15.3</v>
      </c>
      <c r="L3" s="34" t="str">
        <f aca="true" t="shared" si="1" ref="L3:L10">IF(OR(I3="",K3=""),"-",IF(I3&gt;670,"P &gt; 670 кВт",IF(I3&gt;150,"150 &lt; P &lt;= 670 кВт",IF(I3&gt;15,"15 &lt; P &lt;= 150 кВт",IF(I3&gt;15,"15 &lt; P &lt;= 150 кВт",IF(I3&lt;=15,"P &lt;= 15 кВт","ошибка"))))))</f>
        <v>P &lt;= 15 кВт</v>
      </c>
      <c r="M3" s="3">
        <v>550</v>
      </c>
      <c r="N3" s="35">
        <f aca="true" t="shared" si="2" ref="N3:N10">IF(OR(L3="",L3="-"),"-",IF(L3=$G$34,M3/1.18,ROUND(I3*M3*AF3,2)))</f>
        <v>466.10169491525426</v>
      </c>
      <c r="O3" s="35">
        <f aca="true" t="shared" si="3" ref="O3:O10">ROUND(N3*(1+$AH$1/100),2)</f>
        <v>550</v>
      </c>
      <c r="P3" s="3">
        <v>550</v>
      </c>
      <c r="Q3" s="31">
        <v>41319</v>
      </c>
      <c r="R3" s="51" t="s">
        <v>49</v>
      </c>
      <c r="S3" s="43" t="s">
        <v>64</v>
      </c>
      <c r="T3" s="31">
        <v>41302</v>
      </c>
      <c r="U3" s="31">
        <v>41306</v>
      </c>
      <c r="V3" s="43" t="s">
        <v>65</v>
      </c>
      <c r="W3" s="31">
        <v>41302</v>
      </c>
      <c r="X3" s="32">
        <v>2</v>
      </c>
      <c r="Y3" s="33" t="str">
        <f aca="true" ca="1" t="shared" si="4" ref="Y3:Y10">IF(OR(W3="",W3="-"),"-",IF(DATE(YEAR(W3)+X3,MONTH(W3)+0,DAY(W3)+0)&gt;=TODAY(),"Действует","Прекращено"))</f>
        <v>Прекращено</v>
      </c>
      <c r="Z3" s="33" t="str">
        <f aca="true" t="shared" si="5" ref="Z3:Z10">IF(OR(AA3="",AA3="-"),"Не выполнено","Выполнено")</f>
        <v>Выполнено</v>
      </c>
      <c r="AA3" s="31">
        <v>41320</v>
      </c>
      <c r="AB3" s="46">
        <v>3</v>
      </c>
      <c r="AC3" s="47">
        <v>0.4</v>
      </c>
      <c r="AD3" s="50">
        <v>220</v>
      </c>
      <c r="AE3" s="33" t="str">
        <f aca="true" t="shared" si="6" ref="AE3:AE10">IF(AND(OR(S3="",S3="-"),OR(T3="",T3="-")),"Не заключен",IF(OR(U3="",U3="-"),"В оформлении","Заключен"))</f>
        <v>Заключен</v>
      </c>
      <c r="AF3" s="68">
        <v>1</v>
      </c>
      <c r="AG3" s="77">
        <v>41284</v>
      </c>
      <c r="AH3" s="71"/>
      <c r="AI3" s="72" t="s">
        <v>71</v>
      </c>
    </row>
    <row r="4" spans="1:35" s="30" customFormat="1" ht="52.5" customHeight="1">
      <c r="A4" s="11">
        <v>2</v>
      </c>
      <c r="B4" s="73" t="s">
        <v>66</v>
      </c>
      <c r="C4" s="1" t="s">
        <v>67</v>
      </c>
      <c r="D4" s="1" t="s">
        <v>57</v>
      </c>
      <c r="E4" s="1" t="s">
        <v>58</v>
      </c>
      <c r="F4" s="1" t="s">
        <v>68</v>
      </c>
      <c r="G4" s="1" t="s">
        <v>6</v>
      </c>
      <c r="H4" s="1"/>
      <c r="I4" s="74">
        <v>15</v>
      </c>
      <c r="J4" s="2">
        <v>0.98</v>
      </c>
      <c r="K4" s="36">
        <f t="shared" si="0"/>
        <v>15.3</v>
      </c>
      <c r="L4" s="34" t="str">
        <f t="shared" si="1"/>
        <v>P &lt;= 15 кВт</v>
      </c>
      <c r="M4" s="3">
        <v>550</v>
      </c>
      <c r="N4" s="35">
        <f t="shared" si="2"/>
        <v>466.10169491525426</v>
      </c>
      <c r="O4" s="35">
        <f t="shared" si="3"/>
        <v>550</v>
      </c>
      <c r="P4" s="3">
        <v>550</v>
      </c>
      <c r="Q4" s="31">
        <v>41311</v>
      </c>
      <c r="R4" s="51" t="s">
        <v>49</v>
      </c>
      <c r="S4" s="43" t="s">
        <v>69</v>
      </c>
      <c r="T4" s="31">
        <v>41303</v>
      </c>
      <c r="U4" s="31">
        <v>41306</v>
      </c>
      <c r="V4" s="43" t="s">
        <v>70</v>
      </c>
      <c r="W4" s="31">
        <v>41303</v>
      </c>
      <c r="X4" s="32">
        <v>2</v>
      </c>
      <c r="Y4" s="33" t="str">
        <f ca="1" t="shared" si="4"/>
        <v>Прекращено</v>
      </c>
      <c r="Z4" s="33" t="str">
        <f t="shared" si="5"/>
        <v>Не выполнено</v>
      </c>
      <c r="AA4" s="31"/>
      <c r="AB4" s="46">
        <v>3</v>
      </c>
      <c r="AC4" s="47">
        <v>0.4</v>
      </c>
      <c r="AD4" s="50">
        <v>380</v>
      </c>
      <c r="AE4" s="33" t="str">
        <f t="shared" si="6"/>
        <v>Заключен</v>
      </c>
      <c r="AF4" s="68">
        <v>1</v>
      </c>
      <c r="AG4" s="77">
        <v>41295</v>
      </c>
      <c r="AH4" s="71"/>
      <c r="AI4" s="72" t="s">
        <v>71</v>
      </c>
    </row>
    <row r="5" spans="1:35" s="30" customFormat="1" ht="52.5" customHeight="1">
      <c r="A5" s="11">
        <v>3</v>
      </c>
      <c r="B5" s="73" t="s">
        <v>72</v>
      </c>
      <c r="C5" s="1" t="s">
        <v>73</v>
      </c>
      <c r="D5" s="1" t="s">
        <v>74</v>
      </c>
      <c r="E5" s="1" t="s">
        <v>58</v>
      </c>
      <c r="F5" s="1" t="s">
        <v>75</v>
      </c>
      <c r="G5" s="1" t="s">
        <v>6</v>
      </c>
      <c r="H5" s="1"/>
      <c r="I5" s="74">
        <v>180</v>
      </c>
      <c r="J5" s="2">
        <v>0.98</v>
      </c>
      <c r="K5" s="36">
        <f t="shared" si="0"/>
        <v>183.7</v>
      </c>
      <c r="L5" s="34" t="str">
        <f t="shared" si="1"/>
        <v>150 &lt; P &lt;= 670 кВт</v>
      </c>
      <c r="M5" s="3">
        <v>779</v>
      </c>
      <c r="N5" s="35">
        <f t="shared" si="2"/>
        <v>280440</v>
      </c>
      <c r="O5" s="35">
        <f t="shared" si="3"/>
        <v>330919.2</v>
      </c>
      <c r="P5" s="3"/>
      <c r="Q5" s="31"/>
      <c r="R5" s="51" t="s">
        <v>59</v>
      </c>
      <c r="S5" s="43" t="s">
        <v>76</v>
      </c>
      <c r="T5" s="31">
        <v>41312</v>
      </c>
      <c r="U5" s="31"/>
      <c r="V5" s="43" t="s">
        <v>77</v>
      </c>
      <c r="W5" s="31">
        <v>41312</v>
      </c>
      <c r="X5" s="32">
        <v>2</v>
      </c>
      <c r="Y5" s="33" t="str">
        <f ca="1" t="shared" si="4"/>
        <v>Прекращено</v>
      </c>
      <c r="Z5" s="33" t="str">
        <f t="shared" si="5"/>
        <v>Не выполнено</v>
      </c>
      <c r="AA5" s="31"/>
      <c r="AB5" s="46">
        <v>2</v>
      </c>
      <c r="AC5" s="47">
        <v>0.4</v>
      </c>
      <c r="AD5" s="50">
        <v>380</v>
      </c>
      <c r="AE5" s="33" t="str">
        <f t="shared" si="6"/>
        <v>В оформлении</v>
      </c>
      <c r="AF5" s="68">
        <v>2</v>
      </c>
      <c r="AG5" s="77">
        <v>41297</v>
      </c>
      <c r="AH5" s="71"/>
      <c r="AI5" s="72" t="s">
        <v>71</v>
      </c>
    </row>
    <row r="6" spans="1:35" s="30" customFormat="1" ht="52.5" customHeight="1">
      <c r="A6" s="11">
        <v>4</v>
      </c>
      <c r="B6" s="73" t="s">
        <v>78</v>
      </c>
      <c r="C6" s="1" t="s">
        <v>79</v>
      </c>
      <c r="D6" s="1" t="s">
        <v>74</v>
      </c>
      <c r="E6" s="1" t="s">
        <v>58</v>
      </c>
      <c r="F6" s="1" t="s">
        <v>80</v>
      </c>
      <c r="G6" s="1" t="s">
        <v>6</v>
      </c>
      <c r="H6" s="1"/>
      <c r="I6" s="74">
        <v>15</v>
      </c>
      <c r="J6" s="2">
        <v>0.98</v>
      </c>
      <c r="K6" s="36">
        <f t="shared" si="0"/>
        <v>15.3</v>
      </c>
      <c r="L6" s="34" t="str">
        <f t="shared" si="1"/>
        <v>P &lt;= 15 кВт</v>
      </c>
      <c r="M6" s="3">
        <v>550</v>
      </c>
      <c r="N6" s="35">
        <f t="shared" si="2"/>
        <v>466.10169491525426</v>
      </c>
      <c r="O6" s="35">
        <f t="shared" si="3"/>
        <v>550</v>
      </c>
      <c r="P6" s="3"/>
      <c r="Q6" s="31"/>
      <c r="R6" s="51" t="s">
        <v>49</v>
      </c>
      <c r="S6" s="43" t="s">
        <v>81</v>
      </c>
      <c r="T6" s="31">
        <v>41312</v>
      </c>
      <c r="U6" s="31">
        <v>41317</v>
      </c>
      <c r="V6" s="43" t="s">
        <v>82</v>
      </c>
      <c r="W6" s="31">
        <v>41312</v>
      </c>
      <c r="X6" s="32">
        <v>2</v>
      </c>
      <c r="Y6" s="33" t="str">
        <f ca="1" t="shared" si="4"/>
        <v>Прекращено</v>
      </c>
      <c r="Z6" s="33" t="str">
        <f t="shared" si="5"/>
        <v>Не выполнено</v>
      </c>
      <c r="AA6" s="31"/>
      <c r="AB6" s="46">
        <v>3</v>
      </c>
      <c r="AC6" s="47">
        <v>0.4</v>
      </c>
      <c r="AD6" s="50">
        <v>380</v>
      </c>
      <c r="AE6" s="33" t="str">
        <f t="shared" si="6"/>
        <v>Заключен</v>
      </c>
      <c r="AF6" s="68">
        <v>1</v>
      </c>
      <c r="AG6" s="77">
        <v>41066</v>
      </c>
      <c r="AH6" s="71"/>
      <c r="AI6" s="72" t="s">
        <v>71</v>
      </c>
    </row>
    <row r="7" spans="1:35" s="30" customFormat="1" ht="52.5" customHeight="1">
      <c r="A7" s="11">
        <v>5</v>
      </c>
      <c r="B7" s="73" t="s">
        <v>83</v>
      </c>
      <c r="C7" s="1" t="s">
        <v>84</v>
      </c>
      <c r="D7" s="1" t="s">
        <v>74</v>
      </c>
      <c r="E7" s="1" t="s">
        <v>58</v>
      </c>
      <c r="F7" s="1" t="s">
        <v>85</v>
      </c>
      <c r="G7" s="1" t="s">
        <v>6</v>
      </c>
      <c r="H7" s="1"/>
      <c r="I7" s="74">
        <v>2</v>
      </c>
      <c r="J7" s="2">
        <v>0.98</v>
      </c>
      <c r="K7" s="36">
        <f t="shared" si="0"/>
        <v>2</v>
      </c>
      <c r="L7" s="34" t="str">
        <f t="shared" si="1"/>
        <v>P &lt;= 15 кВт</v>
      </c>
      <c r="M7" s="3">
        <v>550</v>
      </c>
      <c r="N7" s="35">
        <f t="shared" si="2"/>
        <v>466.10169491525426</v>
      </c>
      <c r="O7" s="35">
        <f t="shared" si="3"/>
        <v>550</v>
      </c>
      <c r="P7" s="3">
        <v>550</v>
      </c>
      <c r="Q7" s="31">
        <v>41331</v>
      </c>
      <c r="R7" s="51" t="s">
        <v>49</v>
      </c>
      <c r="S7" s="43" t="s">
        <v>87</v>
      </c>
      <c r="T7" s="31">
        <v>41312</v>
      </c>
      <c r="U7" s="31">
        <v>41324</v>
      </c>
      <c r="V7" s="43" t="s">
        <v>86</v>
      </c>
      <c r="W7" s="31">
        <v>41312</v>
      </c>
      <c r="X7" s="32">
        <v>2</v>
      </c>
      <c r="Y7" s="33" t="str">
        <f ca="1" t="shared" si="4"/>
        <v>Прекращено</v>
      </c>
      <c r="Z7" s="33" t="str">
        <f t="shared" si="5"/>
        <v>Не выполнено</v>
      </c>
      <c r="AA7" s="31"/>
      <c r="AB7" s="46">
        <v>3</v>
      </c>
      <c r="AC7" s="47">
        <v>0.4</v>
      </c>
      <c r="AD7" s="50">
        <v>220</v>
      </c>
      <c r="AE7" s="33" t="str">
        <f t="shared" si="6"/>
        <v>Заключен</v>
      </c>
      <c r="AF7" s="68">
        <v>1</v>
      </c>
      <c r="AG7" s="77">
        <v>41306</v>
      </c>
      <c r="AH7" s="71"/>
      <c r="AI7" s="72" t="s">
        <v>71</v>
      </c>
    </row>
    <row r="8" spans="1:35" s="30" customFormat="1" ht="52.5" customHeight="1">
      <c r="A8" s="11">
        <v>6</v>
      </c>
      <c r="B8" s="73" t="s">
        <v>88</v>
      </c>
      <c r="C8" s="1" t="s">
        <v>89</v>
      </c>
      <c r="D8" s="1" t="s">
        <v>74</v>
      </c>
      <c r="E8" s="1" t="s">
        <v>58</v>
      </c>
      <c r="F8" s="1" t="s">
        <v>90</v>
      </c>
      <c r="G8" s="1" t="s">
        <v>6</v>
      </c>
      <c r="H8" s="1"/>
      <c r="I8" s="74">
        <v>15</v>
      </c>
      <c r="J8" s="2">
        <v>0.98</v>
      </c>
      <c r="K8" s="36">
        <f t="shared" si="0"/>
        <v>15.3</v>
      </c>
      <c r="L8" s="34" t="str">
        <f t="shared" si="1"/>
        <v>P &lt;= 15 кВт</v>
      </c>
      <c r="M8" s="3">
        <v>550</v>
      </c>
      <c r="N8" s="35">
        <f t="shared" si="2"/>
        <v>466.10169491525426</v>
      </c>
      <c r="O8" s="35">
        <f t="shared" si="3"/>
        <v>550</v>
      </c>
      <c r="P8" s="3"/>
      <c r="Q8" s="31"/>
      <c r="R8" s="51" t="s">
        <v>49</v>
      </c>
      <c r="S8" s="43" t="s">
        <v>91</v>
      </c>
      <c r="T8" s="31">
        <v>41324</v>
      </c>
      <c r="U8" s="31">
        <v>41326</v>
      </c>
      <c r="V8" s="43" t="s">
        <v>92</v>
      </c>
      <c r="W8" s="31">
        <v>41323</v>
      </c>
      <c r="X8" s="32">
        <v>2</v>
      </c>
      <c r="Y8" s="33" t="str">
        <f ca="1" t="shared" si="4"/>
        <v>Прекращено</v>
      </c>
      <c r="Z8" s="33" t="str">
        <f t="shared" si="5"/>
        <v>Не выполнено</v>
      </c>
      <c r="AA8" s="31"/>
      <c r="AB8" s="46">
        <v>3</v>
      </c>
      <c r="AC8" s="47">
        <v>0.4</v>
      </c>
      <c r="AD8" s="50">
        <v>380</v>
      </c>
      <c r="AE8" s="33" t="str">
        <f t="shared" si="6"/>
        <v>Заключен</v>
      </c>
      <c r="AF8" s="68">
        <v>1</v>
      </c>
      <c r="AG8" s="77">
        <v>41318</v>
      </c>
      <c r="AH8" s="71"/>
      <c r="AI8" s="72" t="s">
        <v>71</v>
      </c>
    </row>
    <row r="9" spans="1:35" s="30" customFormat="1" ht="52.5" customHeight="1">
      <c r="A9" s="11">
        <v>7</v>
      </c>
      <c r="B9" s="73" t="s">
        <v>60</v>
      </c>
      <c r="C9" s="1" t="s">
        <v>94</v>
      </c>
      <c r="D9" s="1" t="s">
        <v>62</v>
      </c>
      <c r="E9" s="1" t="s">
        <v>58</v>
      </c>
      <c r="F9" s="1" t="s">
        <v>93</v>
      </c>
      <c r="G9" s="1" t="s">
        <v>6</v>
      </c>
      <c r="H9" s="1"/>
      <c r="I9" s="74">
        <v>15</v>
      </c>
      <c r="J9" s="2">
        <v>0.98</v>
      </c>
      <c r="K9" s="36">
        <f t="shared" si="0"/>
        <v>15.3</v>
      </c>
      <c r="L9" s="34" t="str">
        <f t="shared" si="1"/>
        <v>P &lt;= 15 кВт</v>
      </c>
      <c r="M9" s="3">
        <v>550</v>
      </c>
      <c r="N9" s="35">
        <f t="shared" si="2"/>
        <v>466.10169491525426</v>
      </c>
      <c r="O9" s="35">
        <f t="shared" si="3"/>
        <v>550</v>
      </c>
      <c r="P9" s="3"/>
      <c r="Q9" s="31"/>
      <c r="R9" s="51" t="s">
        <v>49</v>
      </c>
      <c r="S9" s="43" t="s">
        <v>95</v>
      </c>
      <c r="T9" s="31">
        <v>41324</v>
      </c>
      <c r="U9" s="31">
        <v>41327</v>
      </c>
      <c r="V9" s="43" t="s">
        <v>96</v>
      </c>
      <c r="W9" s="31">
        <v>41323</v>
      </c>
      <c r="X9" s="32">
        <v>2</v>
      </c>
      <c r="Y9" s="33" t="str">
        <f ca="1" t="shared" si="4"/>
        <v>Прекращено</v>
      </c>
      <c r="Z9" s="33" t="str">
        <f t="shared" si="5"/>
        <v>Не выполнено</v>
      </c>
      <c r="AA9" s="31"/>
      <c r="AB9" s="46">
        <v>3</v>
      </c>
      <c r="AC9" s="47">
        <v>0.4</v>
      </c>
      <c r="AD9" s="50">
        <v>220</v>
      </c>
      <c r="AE9" s="33" t="str">
        <f t="shared" si="6"/>
        <v>Заключен</v>
      </c>
      <c r="AF9" s="68">
        <v>1</v>
      </c>
      <c r="AG9" s="77">
        <v>41318</v>
      </c>
      <c r="AH9" s="71"/>
      <c r="AI9" s="72" t="s">
        <v>71</v>
      </c>
    </row>
    <row r="10" spans="1:35" s="30" customFormat="1" ht="52.5" customHeight="1">
      <c r="A10" s="11">
        <v>8</v>
      </c>
      <c r="B10" s="73" t="s">
        <v>60</v>
      </c>
      <c r="C10" s="1" t="s">
        <v>97</v>
      </c>
      <c r="D10" s="1" t="s">
        <v>57</v>
      </c>
      <c r="E10" s="1" t="s">
        <v>58</v>
      </c>
      <c r="F10" s="1" t="s">
        <v>98</v>
      </c>
      <c r="G10" s="1" t="s">
        <v>6</v>
      </c>
      <c r="H10" s="1"/>
      <c r="I10" s="74">
        <v>15</v>
      </c>
      <c r="J10" s="2">
        <v>0.98</v>
      </c>
      <c r="K10" s="36">
        <f t="shared" si="0"/>
        <v>15.3</v>
      </c>
      <c r="L10" s="34" t="str">
        <f t="shared" si="1"/>
        <v>P &lt;= 15 кВт</v>
      </c>
      <c r="M10" s="3">
        <v>550</v>
      </c>
      <c r="N10" s="35">
        <f t="shared" si="2"/>
        <v>466.10169491525426</v>
      </c>
      <c r="O10" s="35">
        <f t="shared" si="3"/>
        <v>550</v>
      </c>
      <c r="P10" s="3"/>
      <c r="Q10" s="31"/>
      <c r="R10" s="51" t="s">
        <v>49</v>
      </c>
      <c r="S10" s="43" t="s">
        <v>99</v>
      </c>
      <c r="T10" s="31">
        <v>41324</v>
      </c>
      <c r="U10" s="31">
        <v>41332</v>
      </c>
      <c r="V10" s="43" t="s">
        <v>100</v>
      </c>
      <c r="W10" s="31">
        <v>41320</v>
      </c>
      <c r="X10" s="32">
        <v>2</v>
      </c>
      <c r="Y10" s="33" t="str">
        <f ca="1" t="shared" si="4"/>
        <v>Прекращено</v>
      </c>
      <c r="Z10" s="33" t="str">
        <f t="shared" si="5"/>
        <v>Не выполнено</v>
      </c>
      <c r="AA10" s="31"/>
      <c r="AB10" s="46">
        <v>3</v>
      </c>
      <c r="AC10" s="47">
        <v>0.4</v>
      </c>
      <c r="AD10" s="50">
        <v>380</v>
      </c>
      <c r="AE10" s="33" t="str">
        <f t="shared" si="6"/>
        <v>Заключен</v>
      </c>
      <c r="AF10" s="68">
        <v>1</v>
      </c>
      <c r="AG10" s="78">
        <v>41313</v>
      </c>
      <c r="AH10" s="76"/>
      <c r="AI10" s="75" t="s">
        <v>71</v>
      </c>
    </row>
    <row r="11" spans="1:34" ht="12.75">
      <c r="A11" s="4"/>
      <c r="B11" s="48"/>
      <c r="C11" s="5"/>
      <c r="D11" s="5"/>
      <c r="E11" s="5"/>
      <c r="G11" s="5"/>
      <c r="H11" s="5"/>
      <c r="I11" s="6"/>
      <c r="J11" s="6"/>
      <c r="K11" s="6"/>
      <c r="L11" s="5"/>
      <c r="M11" s="4"/>
      <c r="N11" s="4"/>
      <c r="O11" s="4"/>
      <c r="P11" s="4"/>
      <c r="Q11" s="4"/>
      <c r="R11" s="4"/>
      <c r="S11" s="4"/>
      <c r="T11" s="5"/>
      <c r="U11" s="5"/>
      <c r="V11" s="4"/>
      <c r="W11" s="5"/>
      <c r="X11" s="5"/>
      <c r="Y11" s="5"/>
      <c r="Z11" s="5"/>
      <c r="AA11" s="7"/>
      <c r="AB11" s="4"/>
      <c r="AC11" s="4"/>
      <c r="AD11" s="4"/>
      <c r="AE11" s="5"/>
      <c r="AF11" s="5"/>
      <c r="AG11" s="5"/>
      <c r="AH11" s="5"/>
    </row>
    <row r="12" spans="6:30" s="38" customFormat="1" ht="15.75">
      <c r="F12" s="40" t="s">
        <v>8</v>
      </c>
      <c r="G12" s="39" t="str">
        <f>CONCATENATE(SUBTOTAL(3,$G$3:$G$11)," шт.")</f>
        <v>8 шт.</v>
      </c>
      <c r="H12" s="39"/>
      <c r="I12" s="15" t="str">
        <f>CONCATENATE(SUBTOTAL(9,$I$3:$I$11)," кВт")</f>
        <v>272 кВт</v>
      </c>
      <c r="J12" s="15" t="str">
        <f>CONCATENATE(ROUND(SUBTOTAL(1,$J$3:$J$11),2)," сред.зн.")</f>
        <v>0,98 сред.зн.</v>
      </c>
      <c r="K12" s="55" t="str">
        <f>CONCATENATE(SUBTOTAL(9,$K$3:$K$11)," кВА")</f>
        <v>277,5 кВА</v>
      </c>
      <c r="L12" s="39" t="str">
        <f>CONCATENATE(SUBTOTAL(3,$L$3:$L$11)," шт.")</f>
        <v>8 шт.</v>
      </c>
      <c r="M12" s="39" t="str">
        <f>CONCATENATE(ROUND(SUBTOTAL(1,$M$3:$M$11),2)," сред.зн.")</f>
        <v>578,63 сред.зн.</v>
      </c>
      <c r="N12" s="41">
        <f>(ROUND(SUBTOTAL(9,$N$3:$N$11),2))</f>
        <v>283702.71</v>
      </c>
      <c r="O12" s="41">
        <f>(ROUND(SUBTOTAL(9,$O$3:$O$11),2))</f>
        <v>334769.2</v>
      </c>
      <c r="P12" s="41">
        <f>IF(SUM($P$3:$P$11)=0,"-",(ROUND(SUBTOTAL(9,$P$3:$P$11),2)))</f>
        <v>1650</v>
      </c>
      <c r="S12" s="44"/>
      <c r="T12" s="54"/>
      <c r="U12" s="54"/>
      <c r="V12" s="54"/>
      <c r="W12" s="54"/>
      <c r="Z12" s="39" t="s">
        <v>51</v>
      </c>
      <c r="AA12" s="40" t="str">
        <f>CONCATENATE(SUBTOTAL(3,$AA$3:$AA$11)," шт.")</f>
        <v>1 шт.</v>
      </c>
      <c r="AB12" s="44"/>
      <c r="AC12" s="44"/>
      <c r="AD12" s="44"/>
    </row>
    <row r="13" ht="12.75"/>
    <row r="14" spans="4:26" ht="15.75">
      <c r="D14" s="17"/>
      <c r="F14" s="14" t="s">
        <v>27</v>
      </c>
      <c r="Y14" s="37"/>
      <c r="Z14" s="37"/>
    </row>
    <row r="15" spans="1:30" s="16" customFormat="1" ht="25.5">
      <c r="A15" s="17"/>
      <c r="B15" s="17"/>
      <c r="C15" s="69"/>
      <c r="E15" s="17"/>
      <c r="F15" s="10" t="s">
        <v>14</v>
      </c>
      <c r="G15" s="10" t="s">
        <v>13</v>
      </c>
      <c r="H15" s="10"/>
      <c r="I15" s="10" t="s">
        <v>17</v>
      </c>
      <c r="J15" s="10"/>
      <c r="K15" s="10" t="s">
        <v>11</v>
      </c>
      <c r="L15" s="10" t="s">
        <v>16</v>
      </c>
      <c r="S15" s="45"/>
      <c r="V15" s="45"/>
      <c r="AB15" s="45"/>
      <c r="AC15" s="45"/>
      <c r="AD15" s="45"/>
    </row>
    <row r="16" spans="1:12" ht="12.75">
      <c r="A16" s="37"/>
      <c r="D16" s="16"/>
      <c r="F16" s="81" t="s">
        <v>21</v>
      </c>
      <c r="G16" s="9" t="s">
        <v>6</v>
      </c>
      <c r="H16" s="9"/>
      <c r="I16" s="13">
        <f>SUMIF($G$3:$G$11,G16,$I$3:$I$11)</f>
        <v>272</v>
      </c>
      <c r="J16" s="13"/>
      <c r="K16" s="13">
        <f>SUMIF($G$3:$G$11,G16,$K$3:$K$11)</f>
        <v>277.5</v>
      </c>
      <c r="L16" s="18">
        <f>COUNTIF($G$3:$G$11,G16)</f>
        <v>8</v>
      </c>
    </row>
    <row r="17" spans="4:12" ht="25.5">
      <c r="D17" s="16"/>
      <c r="E17" s="49"/>
      <c r="F17" s="81"/>
      <c r="G17" s="9" t="s">
        <v>9</v>
      </c>
      <c r="H17" s="9"/>
      <c r="I17" s="13">
        <f>SUMIF($G$3:$G$11,G17,$I$3:$I$11)</f>
        <v>0</v>
      </c>
      <c r="J17" s="13"/>
      <c r="K17" s="13">
        <f>SUMIF($G$3:$G$11,G17,$K$3:$K$11)</f>
        <v>0</v>
      </c>
      <c r="L17" s="18">
        <f>COUNTIF($G$3:$G$11,G17)</f>
        <v>0</v>
      </c>
    </row>
    <row r="18" spans="4:12" ht="12.75">
      <c r="D18" s="16"/>
      <c r="F18" s="19" t="s">
        <v>15</v>
      </c>
      <c r="G18" s="19"/>
      <c r="H18" s="19"/>
      <c r="I18" s="20">
        <f>SUM(I16:I17)</f>
        <v>272</v>
      </c>
      <c r="J18" s="21"/>
      <c r="K18" s="22">
        <f>SUM(K16:K17)</f>
        <v>277.5</v>
      </c>
      <c r="L18" s="23">
        <f>SUM(L16:L17)</f>
        <v>8</v>
      </c>
    </row>
    <row r="19" spans="4:12" ht="12.75">
      <c r="D19" s="16"/>
      <c r="F19" s="81" t="s">
        <v>12</v>
      </c>
      <c r="G19" s="12">
        <v>1</v>
      </c>
      <c r="H19" s="12"/>
      <c r="I19" s="13">
        <f>SUMIF($AB$3:$AB$11,G19,$I$3:$I$11)</f>
        <v>0</v>
      </c>
      <c r="J19" s="13"/>
      <c r="K19" s="13">
        <f>SUMIF($AB$3:$AB$11,G19,$K$3:$K$11)</f>
        <v>0</v>
      </c>
      <c r="L19" s="18">
        <f>COUNTIF($AB$3:$AB$11,G19)</f>
        <v>0</v>
      </c>
    </row>
    <row r="20" spans="4:12" ht="12.75">
      <c r="D20" s="16"/>
      <c r="F20" s="81"/>
      <c r="G20" s="12">
        <v>2</v>
      </c>
      <c r="H20" s="12"/>
      <c r="I20" s="13">
        <f>SUMIF($AB$3:$AB$11,G20,$I$3:$I$11)</f>
        <v>180</v>
      </c>
      <c r="J20" s="13"/>
      <c r="K20" s="13">
        <f>SUMIF($AB$3:$AB$11,G20,$K$3:$K$11)</f>
        <v>183.7</v>
      </c>
      <c r="L20" s="18">
        <f>COUNTIF($AB$3:$AB$11,G20)</f>
        <v>1</v>
      </c>
    </row>
    <row r="21" spans="4:12" ht="12.75">
      <c r="D21" s="16"/>
      <c r="F21" s="82"/>
      <c r="G21" s="24">
        <v>3</v>
      </c>
      <c r="H21" s="24"/>
      <c r="I21" s="13">
        <f>SUMIF($AB$3:$AB$11,G21,$I$3:$I$11)</f>
        <v>92</v>
      </c>
      <c r="J21" s="13"/>
      <c r="K21" s="13">
        <f>SUMIF($AB$3:$AB$11,G21,$K$3:$K$11)</f>
        <v>93.8</v>
      </c>
      <c r="L21" s="18">
        <f>COUNTIF($AB$3:$AB$11,G21)</f>
        <v>7</v>
      </c>
    </row>
    <row r="22" spans="4:12" ht="12.75">
      <c r="D22" s="16"/>
      <c r="F22" s="66" t="s">
        <v>15</v>
      </c>
      <c r="G22" s="19"/>
      <c r="H22" s="19"/>
      <c r="I22" s="20">
        <f>SUM(I19:I21)</f>
        <v>272</v>
      </c>
      <c r="J22" s="21"/>
      <c r="K22" s="22">
        <f>SUM(K19:K21)</f>
        <v>277.5</v>
      </c>
      <c r="L22" s="23">
        <f>SUM(L19:L21)</f>
        <v>8</v>
      </c>
    </row>
    <row r="23" spans="4:12" ht="12.75">
      <c r="D23" s="16"/>
      <c r="F23" s="86" t="s">
        <v>7</v>
      </c>
      <c r="G23" s="64">
        <v>779</v>
      </c>
      <c r="H23" s="25"/>
      <c r="I23" s="13">
        <f aca="true" t="shared" si="7" ref="I23:I28">SUMIF($M$3:$M$11,G23,$I$3:$I$11)</f>
        <v>180</v>
      </c>
      <c r="J23" s="13"/>
      <c r="K23" s="13">
        <f aca="true" t="shared" si="8" ref="K23:K28">SUMIF($M$3:$M$11,G23,$K$3:$K$11)</f>
        <v>183.7</v>
      </c>
      <c r="L23" s="18">
        <f aca="true" t="shared" si="9" ref="L23:L28">COUNTIF($M$3:$M$11,G23)</f>
        <v>1</v>
      </c>
    </row>
    <row r="24" spans="4:12" ht="12.75">
      <c r="D24" s="16"/>
      <c r="F24" s="87"/>
      <c r="G24" s="64">
        <v>550</v>
      </c>
      <c r="H24" s="25"/>
      <c r="I24" s="13">
        <f t="shared" si="7"/>
        <v>92</v>
      </c>
      <c r="J24" s="13"/>
      <c r="K24" s="13">
        <f t="shared" si="8"/>
        <v>93.8</v>
      </c>
      <c r="L24" s="18">
        <f t="shared" si="9"/>
        <v>7</v>
      </c>
    </row>
    <row r="25" spans="4:12" ht="12.75">
      <c r="D25" s="16"/>
      <c r="F25" s="87"/>
      <c r="G25" s="64">
        <v>325.83</v>
      </c>
      <c r="H25" s="25"/>
      <c r="I25" s="13">
        <f t="shared" si="7"/>
        <v>0</v>
      </c>
      <c r="J25" s="13"/>
      <c r="K25" s="13">
        <f t="shared" si="8"/>
        <v>0</v>
      </c>
      <c r="L25" s="18">
        <f t="shared" si="9"/>
        <v>0</v>
      </c>
    </row>
    <row r="26" spans="4:12" ht="12.75">
      <c r="D26" s="16"/>
      <c r="F26" s="87"/>
      <c r="G26" s="65">
        <v>1779</v>
      </c>
      <c r="H26" s="26"/>
      <c r="I26" s="13">
        <f t="shared" si="7"/>
        <v>0</v>
      </c>
      <c r="J26" s="13"/>
      <c r="K26" s="13">
        <f t="shared" si="8"/>
        <v>0</v>
      </c>
      <c r="L26" s="18">
        <f t="shared" si="9"/>
        <v>0</v>
      </c>
    </row>
    <row r="27" spans="4:12" ht="12.75">
      <c r="D27" s="16"/>
      <c r="F27" s="87"/>
      <c r="G27" s="65">
        <v>2175</v>
      </c>
      <c r="H27" s="26"/>
      <c r="I27" s="58">
        <f t="shared" si="7"/>
        <v>0</v>
      </c>
      <c r="J27" s="13"/>
      <c r="K27" s="58">
        <f t="shared" si="8"/>
        <v>0</v>
      </c>
      <c r="L27" s="60">
        <f t="shared" si="9"/>
        <v>0</v>
      </c>
    </row>
    <row r="28" spans="4:12" ht="12.75">
      <c r="D28" s="16"/>
      <c r="F28" s="88"/>
      <c r="G28" s="63">
        <v>2210</v>
      </c>
      <c r="H28" s="57"/>
      <c r="I28" s="59">
        <f t="shared" si="7"/>
        <v>0</v>
      </c>
      <c r="J28" s="56"/>
      <c r="K28" s="59">
        <f t="shared" si="8"/>
        <v>0</v>
      </c>
      <c r="L28" s="61">
        <f t="shared" si="9"/>
        <v>0</v>
      </c>
    </row>
    <row r="29" spans="4:12" ht="12.75">
      <c r="D29" s="16"/>
      <c r="F29" s="62" t="s">
        <v>15</v>
      </c>
      <c r="G29" s="19"/>
      <c r="H29" s="19"/>
      <c r="I29" s="20">
        <f>SUM(I23:I28)</f>
        <v>272</v>
      </c>
      <c r="J29" s="21"/>
      <c r="K29" s="22">
        <f>SUM(K23:K28)</f>
        <v>277.5</v>
      </c>
      <c r="L29" s="23">
        <f>SUM(L23:L28)</f>
        <v>8</v>
      </c>
    </row>
    <row r="30" spans="4:12" ht="12.75">
      <c r="D30" s="16"/>
      <c r="F30" s="81" t="s">
        <v>18</v>
      </c>
      <c r="G30" s="25">
        <v>0.75</v>
      </c>
      <c r="H30" s="25"/>
      <c r="I30" s="13">
        <f>SUMIF($J$3:$J$11,G30,$I$3:$I$11)</f>
        <v>0</v>
      </c>
      <c r="J30" s="13"/>
      <c r="K30" s="13">
        <f>SUMIF($J$3:$J$11,G30,$K$3:$K$11)</f>
        <v>0</v>
      </c>
      <c r="L30" s="18">
        <f>COUNTIF($J$3:$J$11,G30)</f>
        <v>0</v>
      </c>
    </row>
    <row r="31" spans="4:12" ht="12.75">
      <c r="D31" s="16"/>
      <c r="F31" s="81"/>
      <c r="G31" s="25">
        <v>0.85</v>
      </c>
      <c r="H31" s="25"/>
      <c r="I31" s="13">
        <f>SUMIF($J$3:$J$11,G31,$I$3:$I$11)</f>
        <v>0</v>
      </c>
      <c r="J31" s="13"/>
      <c r="K31" s="13">
        <f>SUMIF($J$3:$J$11,G31,$K$3:$K$11)</f>
        <v>0</v>
      </c>
      <c r="L31" s="18">
        <f>COUNTIF($J$3:$J$11,G31)</f>
        <v>0</v>
      </c>
    </row>
    <row r="32" spans="4:12" ht="12.75">
      <c r="D32" s="16"/>
      <c r="F32" s="82"/>
      <c r="G32" s="26">
        <v>0.98</v>
      </c>
      <c r="H32" s="26"/>
      <c r="I32" s="13">
        <f>SUMIF($J$3:$J$11,G32,$I$3:$I$11)</f>
        <v>272</v>
      </c>
      <c r="J32" s="13"/>
      <c r="K32" s="13">
        <f>SUMIF($J$3:$J$11,G32,$K$3:$K$11)</f>
        <v>277.5</v>
      </c>
      <c r="L32" s="18">
        <f>COUNTIF($J$3:$J$11,G32)</f>
        <v>8</v>
      </c>
    </row>
    <row r="33" spans="4:12" ht="12.75">
      <c r="D33" s="16"/>
      <c r="F33" s="19" t="s">
        <v>15</v>
      </c>
      <c r="G33" s="19"/>
      <c r="H33" s="19"/>
      <c r="I33" s="20">
        <f>SUM(I30:I32)</f>
        <v>272</v>
      </c>
      <c r="J33" s="21"/>
      <c r="K33" s="22">
        <f>SUM(K30:K32)</f>
        <v>277.5</v>
      </c>
      <c r="L33" s="23">
        <f>SUM(L30:L32)</f>
        <v>8</v>
      </c>
    </row>
    <row r="34" spans="4:12" ht="12.75">
      <c r="D34" s="16"/>
      <c r="F34" s="81" t="s">
        <v>19</v>
      </c>
      <c r="G34" s="25" t="s">
        <v>20</v>
      </c>
      <c r="H34" s="25"/>
      <c r="I34" s="13">
        <f>SUMIF($L$3:$L$11,G34,$I$3:$I$11)</f>
        <v>92</v>
      </c>
      <c r="J34" s="13"/>
      <c r="K34" s="13">
        <f>SUMIF($L$3:$L$11,G34,$K$3:$K$11)</f>
        <v>93.8</v>
      </c>
      <c r="L34" s="18">
        <f>COUNTIF($L$3:$L$11,G34)</f>
        <v>7</v>
      </c>
    </row>
    <row r="35" spans="4:12" ht="12.75">
      <c r="D35" s="16"/>
      <c r="F35" s="82"/>
      <c r="G35" s="26" t="s">
        <v>54</v>
      </c>
      <c r="H35" s="26"/>
      <c r="I35" s="13">
        <f>SUMIF($L$3:$L$11,G35,$I$3:$I$11)</f>
        <v>0</v>
      </c>
      <c r="J35" s="13"/>
      <c r="K35" s="13">
        <f>SUMIF($L$3:$L$11,G35,$K$3:$K$11)</f>
        <v>0</v>
      </c>
      <c r="L35" s="18">
        <f>COUNTIF($L$3:$L$11,G35)</f>
        <v>0</v>
      </c>
    </row>
    <row r="36" spans="4:12" ht="12.75">
      <c r="D36" s="16"/>
      <c r="F36" s="82"/>
      <c r="G36" s="26" t="s">
        <v>55</v>
      </c>
      <c r="H36" s="26"/>
      <c r="I36" s="13">
        <f>SUMIF($L$3:$L$11,G36,$I$3:$I$11)</f>
        <v>180</v>
      </c>
      <c r="J36" s="13"/>
      <c r="K36" s="13">
        <f>SUMIF($L$3:$L$11,G36,$K$3:$K$11)</f>
        <v>183.7</v>
      </c>
      <c r="L36" s="18">
        <f>COUNTIF($L$3:$L$11,G36)</f>
        <v>1</v>
      </c>
    </row>
    <row r="37" spans="4:12" ht="12.75">
      <c r="D37" s="16"/>
      <c r="F37" s="82"/>
      <c r="G37" s="26" t="s">
        <v>56</v>
      </c>
      <c r="H37" s="26"/>
      <c r="I37" s="13">
        <f>SUMIF($L$3:$L$11,G37,$I$3:$I$11)</f>
        <v>0</v>
      </c>
      <c r="J37" s="13"/>
      <c r="K37" s="13">
        <f>SUMIF($L$3:$L$11,G37,$K$3:$K$11)</f>
        <v>0</v>
      </c>
      <c r="L37" s="18">
        <f>COUNTIF($L$3:$L$11,G37)</f>
        <v>0</v>
      </c>
    </row>
    <row r="38" spans="4:12" ht="12.75">
      <c r="D38" s="16"/>
      <c r="F38" s="19" t="s">
        <v>15</v>
      </c>
      <c r="G38" s="19"/>
      <c r="H38" s="19"/>
      <c r="I38" s="20">
        <f>SUM(I34:I37)</f>
        <v>272</v>
      </c>
      <c r="J38" s="21"/>
      <c r="K38" s="22">
        <f>SUM(K34:K37)</f>
        <v>277.5</v>
      </c>
      <c r="L38" s="23">
        <f>SUM(L34:L37)</f>
        <v>8</v>
      </c>
    </row>
    <row r="39" spans="4:12" ht="12.75">
      <c r="D39" s="16"/>
      <c r="F39" s="81" t="s">
        <v>10</v>
      </c>
      <c r="G39" s="27">
        <v>0.4</v>
      </c>
      <c r="H39" s="27"/>
      <c r="I39" s="13">
        <f>SUMIF($AC$3:$AC$11,G39,$I$3:$I$11)</f>
        <v>272</v>
      </c>
      <c r="J39" s="13"/>
      <c r="K39" s="13">
        <f>SUMIF($AC$3:$AC$11,G39,$K$3:$K$11)</f>
        <v>277.5</v>
      </c>
      <c r="L39" s="18">
        <f>COUNTIF($AC$3:$AC$11,G39)</f>
        <v>8</v>
      </c>
    </row>
    <row r="40" spans="4:12" ht="12.75">
      <c r="D40" s="16"/>
      <c r="F40" s="81"/>
      <c r="G40" s="27">
        <v>1</v>
      </c>
      <c r="H40" s="27"/>
      <c r="I40" s="13">
        <f>SUMIF($AC$3:$AC$11,G40,$I$3:$I$11)</f>
        <v>0</v>
      </c>
      <c r="J40" s="13"/>
      <c r="K40" s="13">
        <f>SUMIF($AC$3:$AC$11,G40,$K$3:$K$11)</f>
        <v>0</v>
      </c>
      <c r="L40" s="18">
        <f>COUNTIF($AC$3:$AC$11,G40)</f>
        <v>0</v>
      </c>
    </row>
    <row r="41" spans="4:12" ht="12.75">
      <c r="D41" s="16"/>
      <c r="F41" s="82"/>
      <c r="G41" s="28">
        <v>3</v>
      </c>
      <c r="H41" s="28"/>
      <c r="I41" s="13">
        <f>SUMIF($AC$3:$AC$11,G41,$I$3:$I$11)</f>
        <v>0</v>
      </c>
      <c r="J41" s="13"/>
      <c r="K41" s="13">
        <f>SUMIF($AC$3:$AC$11,G41,$K$3:$K$11)</f>
        <v>0</v>
      </c>
      <c r="L41" s="18">
        <f>COUNTIF($AC$3:$AC$11,G41)</f>
        <v>0</v>
      </c>
    </row>
    <row r="42" spans="4:12" ht="12.75">
      <c r="D42" s="16"/>
      <c r="F42" s="82"/>
      <c r="G42" s="28">
        <v>6</v>
      </c>
      <c r="H42" s="28"/>
      <c r="I42" s="13">
        <f>SUMIF($AC$3:$AC$11,G42,$I$3:$I$11)</f>
        <v>0</v>
      </c>
      <c r="J42" s="13"/>
      <c r="K42" s="13">
        <f>SUMIF($AC$3:$AC$11,G42,$K$3:$K$11)</f>
        <v>0</v>
      </c>
      <c r="L42" s="18">
        <f>COUNTIF($AC$3:$AC$11,G42)</f>
        <v>0</v>
      </c>
    </row>
    <row r="43" spans="4:12" ht="12.75">
      <c r="D43" s="16"/>
      <c r="F43" s="82"/>
      <c r="G43" s="28">
        <v>10</v>
      </c>
      <c r="H43" s="28"/>
      <c r="I43" s="13">
        <f>SUMIF($AC$3:$AC$11,G43,$I$3:$I$11)</f>
        <v>0</v>
      </c>
      <c r="J43" s="13"/>
      <c r="K43" s="13">
        <f>SUMIF($AC$3:$AC$11,G43,$K$3:$K$11)</f>
        <v>0</v>
      </c>
      <c r="L43" s="18">
        <f>COUNTIF($AC$3:$AC$11,G43)</f>
        <v>0</v>
      </c>
    </row>
    <row r="44" spans="4:12" ht="12.75">
      <c r="D44" s="16"/>
      <c r="F44" s="19" t="s">
        <v>15</v>
      </c>
      <c r="G44" s="19"/>
      <c r="H44" s="19"/>
      <c r="I44" s="20">
        <f>SUM(I39:I43)</f>
        <v>272</v>
      </c>
      <c r="J44" s="21"/>
      <c r="K44" s="22">
        <f>SUM(K39:K43)</f>
        <v>277.5</v>
      </c>
      <c r="L44" s="23">
        <f>SUM(L39:L43)</f>
        <v>8</v>
      </c>
    </row>
    <row r="45" spans="4:12" ht="12.75">
      <c r="D45" s="16"/>
      <c r="F45" s="83" t="s">
        <v>22</v>
      </c>
      <c r="G45" s="29">
        <v>220</v>
      </c>
      <c r="H45" s="29"/>
      <c r="I45" s="13">
        <f>SUMIF($AD$3:$AD$11,G45,$I$3:$I$11)</f>
        <v>32</v>
      </c>
      <c r="J45" s="13"/>
      <c r="K45" s="13">
        <f>SUMIF($AD$3:$AD$11,G45,$K$3:$K$11)</f>
        <v>32.6</v>
      </c>
      <c r="L45" s="18">
        <f>COUNTIF($AD$3:$AD$11,G45)</f>
        <v>3</v>
      </c>
    </row>
    <row r="46" spans="4:12" ht="12.75">
      <c r="D46" s="16"/>
      <c r="F46" s="84"/>
      <c r="G46" s="29">
        <v>380</v>
      </c>
      <c r="H46" s="29"/>
      <c r="I46" s="13">
        <f>SUMIF($AD$3:$AD$11,G46,$I$3:$I$11)</f>
        <v>240</v>
      </c>
      <c r="J46" s="13"/>
      <c r="K46" s="13">
        <f>SUMIF($AD$3:$AD$11,G46,$K$3:$K$11)</f>
        <v>244.90000000000003</v>
      </c>
      <c r="L46" s="18">
        <f>COUNTIF($AD$3:$AD$11,G46)</f>
        <v>5</v>
      </c>
    </row>
    <row r="47" spans="4:12" ht="12.75">
      <c r="D47" s="16"/>
      <c r="F47" s="85"/>
      <c r="G47" s="29">
        <v>10000</v>
      </c>
      <c r="H47" s="29"/>
      <c r="I47" s="13">
        <f>SUMIF($AD$3:$AD$11,G47,$I$3:$I$11)</f>
        <v>0</v>
      </c>
      <c r="J47" s="13"/>
      <c r="K47" s="13">
        <f>SUMIF($AD$3:$AD$11,G47,$K$3:$K$11)</f>
        <v>0</v>
      </c>
      <c r="L47" s="18">
        <f>COUNTIF($AD$3:$AD$11,G47)</f>
        <v>0</v>
      </c>
    </row>
    <row r="48" spans="4:12" ht="12.75">
      <c r="D48" s="16"/>
      <c r="F48" s="19" t="s">
        <v>15</v>
      </c>
      <c r="G48" s="19"/>
      <c r="H48" s="19"/>
      <c r="I48" s="20">
        <f>SUM(I45:I47)</f>
        <v>272</v>
      </c>
      <c r="J48" s="21"/>
      <c r="K48" s="20">
        <f>SUM(K45:K47)</f>
        <v>277.50000000000006</v>
      </c>
      <c r="L48" s="23">
        <f>SUM(L45:L47)</f>
        <v>8</v>
      </c>
    </row>
    <row r="49" spans="4:12" ht="12.75">
      <c r="D49" s="16"/>
      <c r="F49" s="81" t="s">
        <v>25</v>
      </c>
      <c r="G49" s="29" t="s">
        <v>24</v>
      </c>
      <c r="H49" s="29"/>
      <c r="I49" s="13">
        <f>SUMIF($E$3:$E$11,G49,$I$3:$I$11)</f>
        <v>272</v>
      </c>
      <c r="J49" s="13"/>
      <c r="K49" s="13">
        <f>SUMIF($E$3:$E$11,G49,$K$3:$K$11)</f>
        <v>277.5</v>
      </c>
      <c r="L49" s="18">
        <f>COUNTIF($E$3:$E$11,G49)</f>
        <v>8</v>
      </c>
    </row>
    <row r="50" spans="4:12" ht="62.25" customHeight="1">
      <c r="D50" s="16"/>
      <c r="F50" s="81"/>
      <c r="G50" s="29" t="s">
        <v>43</v>
      </c>
      <c r="H50" s="29"/>
      <c r="I50" s="13">
        <f>SUMIF($E$3:$E$11,G50,$I$3:$I$11)</f>
        <v>0</v>
      </c>
      <c r="J50" s="13"/>
      <c r="K50" s="13">
        <f>SUMIF($E$3:$E$11,G50,$K$3:$K$11)</f>
        <v>0</v>
      </c>
      <c r="L50" s="18">
        <f>COUNTIF($E$3:$E$11,G50)</f>
        <v>0</v>
      </c>
    </row>
    <row r="51" spans="4:12" ht="12.75">
      <c r="D51" s="16"/>
      <c r="F51" s="19" t="s">
        <v>15</v>
      </c>
      <c r="G51" s="19"/>
      <c r="H51" s="19"/>
      <c r="I51" s="20">
        <f>SUM(I49:I50)</f>
        <v>272</v>
      </c>
      <c r="J51" s="21"/>
      <c r="K51" s="22">
        <f>SUM(K49:K50)</f>
        <v>277.5</v>
      </c>
      <c r="L51" s="23">
        <f>SUM(L49:L50)</f>
        <v>8</v>
      </c>
    </row>
    <row r="52" spans="4:12" ht="15.75">
      <c r="D52" s="16"/>
      <c r="F52" s="14" t="s">
        <v>28</v>
      </c>
      <c r="I52" s="14" t="str">
        <f>IF(AND(I18=I22,I22=I29,I29=I33,I33=I38,I44=I48,I48=I51),"данные корректны","уточните данные")</f>
        <v>данные корректны</v>
      </c>
      <c r="K52" s="14" t="str">
        <f>IF(AND(K18=K22,K22=K29,K29=K33,K33=K38,K44=K48,K48=K51),"данные корректны","уточните данные")</f>
        <v>данные корректны</v>
      </c>
      <c r="L52" s="14" t="str">
        <f>IF(AND(L18=L22,L22=L29,L29=L33,L33=L38,L44=L48,L48=L51),"данные корректны","уточните данные")</f>
        <v>данные корректны</v>
      </c>
    </row>
    <row r="55" ht="12.75">
      <c r="H55" s="70"/>
    </row>
  </sheetData>
  <sheetProtection formatCells="0" formatColumns="0" formatRows="0" autoFilter="0"/>
  <autoFilter ref="A2:AI10"/>
  <mergeCells count="9">
    <mergeCell ref="A1:F1"/>
    <mergeCell ref="F49:F50"/>
    <mergeCell ref="F16:F17"/>
    <mergeCell ref="F19:F21"/>
    <mergeCell ref="F39:F43"/>
    <mergeCell ref="F30:F32"/>
    <mergeCell ref="F34:F37"/>
    <mergeCell ref="F45:F47"/>
    <mergeCell ref="F23:F28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2015-11-27T07:30:42Z</dcterms:modified>
  <cp:category/>
  <cp:version/>
  <cp:contentType/>
  <cp:contentStatus/>
</cp:coreProperties>
</file>